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9815" windowHeight="8820" activeTab="0"/>
  </bookViews>
  <sheets>
    <sheet name="2014 год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<sst xmlns="http://schemas.openxmlformats.org/spreadsheetml/2006/main" count="86" uniqueCount="56">
  <si>
    <t>ЗАО "НАТЭК Инвест-Энерго"</t>
  </si>
  <si>
    <t>№ п/п</t>
  </si>
  <si>
    <t>Показатель</t>
  </si>
  <si>
    <t>Ед. измер.</t>
  </si>
  <si>
    <t>Январь</t>
  </si>
  <si>
    <t>Февраль</t>
  </si>
  <si>
    <t>Март</t>
  </si>
  <si>
    <t>1 кв-л</t>
  </si>
  <si>
    <t>Апрель</t>
  </si>
  <si>
    <t>Май</t>
  </si>
  <si>
    <t>Июнь</t>
  </si>
  <si>
    <t>2 кв-л</t>
  </si>
  <si>
    <t>Июль</t>
  </si>
  <si>
    <t>Август</t>
  </si>
  <si>
    <t>Сентябрь</t>
  </si>
  <si>
    <t>3 кв-л</t>
  </si>
  <si>
    <t>факт</t>
  </si>
  <si>
    <t>Объем потребленного топлива, всего</t>
  </si>
  <si>
    <t>тыс.м3</t>
  </si>
  <si>
    <t>в т.ч. сверхдоговорной</t>
  </si>
  <si>
    <t>Предельно максимальные оптовые цена на  газ при калорийности 7900 ккал/м3 (приказ ФСТ № 177-э/2 от 26.09.2013г)</t>
  </si>
  <si>
    <t>руб./тыс.м3</t>
  </si>
  <si>
    <t xml:space="preserve">калорийность  </t>
  </si>
  <si>
    <t>расчет калорийности в среднем в  год</t>
  </si>
  <si>
    <t xml:space="preserve">Оптовая цена на  газ при фактической калорийности  </t>
  </si>
  <si>
    <t>Сумма за поставку газа без ССУ и транспортировки</t>
  </si>
  <si>
    <t>Цена снабженческо- сбытовых услуг</t>
  </si>
  <si>
    <t>5.1</t>
  </si>
  <si>
    <t>Сумма снабженческо-сбытовых услуг</t>
  </si>
  <si>
    <t>Средневзвешанная цена  транспортировки</t>
  </si>
  <si>
    <t>6.1</t>
  </si>
  <si>
    <t>цена транспортировки газа  договорного объема</t>
  </si>
  <si>
    <t>6.2</t>
  </si>
  <si>
    <t>цена транспортировки газа сверх договорного объема</t>
  </si>
  <si>
    <t>6.3</t>
  </si>
  <si>
    <t>Итого цена 1тыс.м3 газа с ССУ и транспортировкой</t>
  </si>
  <si>
    <t>Итого год</t>
  </si>
  <si>
    <t>январь-июнь</t>
  </si>
  <si>
    <t>январь-сентябрь</t>
  </si>
  <si>
    <t>Октябрь</t>
  </si>
  <si>
    <t>Ноябрь</t>
  </si>
  <si>
    <t>Декабрь</t>
  </si>
  <si>
    <t>4 кв-л</t>
  </si>
  <si>
    <t>ккал</t>
  </si>
  <si>
    <t>Сумма за транспортировку газа, всего</t>
  </si>
  <si>
    <t>руб.</t>
  </si>
  <si>
    <t>тариф доплаты</t>
  </si>
  <si>
    <t>Итого стоимость природного газа с учетом фактич. калорийности, ССУ и транспортировки без учета доплаты, выставленной  в декабре 2014</t>
  </si>
  <si>
    <t>Расходы на топливо на технолог. нужды -  природный газ  с учетом  фактич. калорийности, снабженческо -сбытовых услуг и  транспортировки: с 01.01.2014 по 31.12.2014 -факт.</t>
  </si>
  <si>
    <t>доплата за транспортировку газа, выставленная в декабре 2014 с переходом на другую группу</t>
  </si>
  <si>
    <t>Итого стоимость природного газа с учетом фактич. калорийности, ССУ и транспортировки с  учетом доплаты за транспортировку, выставленной  в декабре 2014</t>
  </si>
  <si>
    <t>руб. без НДС</t>
  </si>
  <si>
    <t>9.1</t>
  </si>
  <si>
    <t>9.2</t>
  </si>
  <si>
    <t>Итого цена 1тыс.м3 газа с ССУ и транспортировкой с доплатой</t>
  </si>
  <si>
    <t>10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</si>
</sst>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color indexed="36"/>
      <name val="Times New Roman"/>
      <family val="1"/>
    </font>
    <font>
      <b/>
      <sz val="9"/>
      <color indexed="6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4" borderId="11" xfId="0" applyFont="1" applyFill="1" applyBorder="1" applyAlignment="1">
      <alignment horizontal="center" vertical="top"/>
    </xf>
    <xf numFmtId="0" fontId="5" fillId="4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vertical="top" wrapText="1"/>
    </xf>
    <xf numFmtId="0" fontId="5" fillId="4" borderId="17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4" borderId="16" xfId="0" applyFont="1" applyFill="1" applyBorder="1" applyAlignment="1">
      <alignment horizontal="center" vertical="top"/>
    </xf>
    <xf numFmtId="0" fontId="5" fillId="0" borderId="13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64" fontId="6" fillId="4" borderId="16" xfId="0" applyNumberFormat="1" applyFont="1" applyFill="1" applyBorder="1" applyAlignment="1">
      <alignment horizontal="right"/>
    </xf>
    <xf numFmtId="0" fontId="6" fillId="0" borderId="13" xfId="0" applyFont="1" applyBorder="1" applyAlignment="1">
      <alignment wrapText="1"/>
    </xf>
    <xf numFmtId="0" fontId="6" fillId="4" borderId="17" xfId="0" applyFont="1" applyFill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 horizontal="right"/>
    </xf>
    <xf numFmtId="0" fontId="7" fillId="0" borderId="13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1" fontId="6" fillId="0" borderId="13" xfId="0" applyNumberFormat="1" applyFont="1" applyFill="1" applyBorder="1" applyAlignment="1">
      <alignment horizontal="right"/>
    </xf>
    <xf numFmtId="1" fontId="6" fillId="4" borderId="16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2" fontId="6" fillId="4" borderId="16" xfId="0" applyNumberFormat="1" applyFont="1" applyFill="1" applyBorder="1" applyAlignment="1">
      <alignment horizontal="right"/>
    </xf>
    <xf numFmtId="2" fontId="6" fillId="4" borderId="17" xfId="0" applyNumberFormat="1" applyFont="1" applyFill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2" fontId="5" fillId="4" borderId="17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right" wrapText="1"/>
    </xf>
    <xf numFmtId="0" fontId="5" fillId="4" borderId="16" xfId="0" applyFont="1" applyFill="1" applyBorder="1" applyAlignment="1">
      <alignment horizontal="right"/>
    </xf>
    <xf numFmtId="0" fontId="5" fillId="4" borderId="17" xfId="0" applyFont="1" applyFill="1" applyBorder="1" applyAlignment="1">
      <alignment horizontal="right"/>
    </xf>
    <xf numFmtId="49" fontId="6" fillId="0" borderId="13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4" fontId="44" fillId="0" borderId="13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4" borderId="10" xfId="0" applyFont="1" applyFill="1" applyBorder="1" applyAlignment="1">
      <alignment horizontal="center" vertical="top"/>
    </xf>
    <xf numFmtId="0" fontId="5" fillId="4" borderId="19" xfId="0" applyFont="1" applyFill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4" borderId="12" xfId="0" applyFont="1" applyFill="1" applyBorder="1" applyAlignment="1">
      <alignment horizontal="center" vertical="top"/>
    </xf>
    <xf numFmtId="0" fontId="5" fillId="4" borderId="13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/>
    </xf>
    <xf numFmtId="0" fontId="6" fillId="4" borderId="18" xfId="0" applyFont="1" applyFill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4" borderId="22" xfId="0" applyFont="1" applyFill="1" applyBorder="1" applyAlignment="1">
      <alignment horizontal="center" vertical="top"/>
    </xf>
    <xf numFmtId="0" fontId="6" fillId="4" borderId="23" xfId="0" applyFont="1" applyFill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0" fillId="4" borderId="17" xfId="0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4" borderId="13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4" borderId="16" xfId="0" applyFont="1" applyFill="1" applyBorder="1" applyAlignment="1">
      <alignment/>
    </xf>
    <xf numFmtId="0" fontId="6" fillId="4" borderId="17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20" xfId="0" applyFont="1" applyBorder="1" applyAlignment="1">
      <alignment/>
    </xf>
    <xf numFmtId="165" fontId="6" fillId="4" borderId="16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right"/>
    </xf>
    <xf numFmtId="1" fontId="6" fillId="0" borderId="13" xfId="0" applyNumberFormat="1" applyFont="1" applyBorder="1" applyAlignment="1">
      <alignment horizontal="right"/>
    </xf>
    <xf numFmtId="164" fontId="6" fillId="4" borderId="13" xfId="0" applyNumberFormat="1" applyFont="1" applyFill="1" applyBorder="1" applyAlignment="1">
      <alignment horizontal="right"/>
    </xf>
    <xf numFmtId="165" fontId="6" fillId="0" borderId="13" xfId="0" applyNumberFormat="1" applyFont="1" applyBorder="1" applyAlignment="1">
      <alignment horizontal="right"/>
    </xf>
    <xf numFmtId="164" fontId="6" fillId="0" borderId="13" xfId="0" applyNumberFormat="1" applyFont="1" applyFill="1" applyBorder="1" applyAlignment="1">
      <alignment horizontal="right"/>
    </xf>
    <xf numFmtId="164" fontId="6" fillId="4" borderId="17" xfId="0" applyNumberFormat="1" applyFont="1" applyFill="1" applyBorder="1" applyAlignment="1">
      <alignment horizontal="right"/>
    </xf>
    <xf numFmtId="1" fontId="5" fillId="4" borderId="17" xfId="0" applyNumberFormat="1" applyFont="1" applyFill="1" applyBorder="1" applyAlignment="1">
      <alignment horizontal="right"/>
    </xf>
    <xf numFmtId="0" fontId="6" fillId="4" borderId="13" xfId="0" applyFont="1" applyFill="1" applyBorder="1" applyAlignment="1">
      <alignment horizontal="right"/>
    </xf>
    <xf numFmtId="0" fontId="5" fillId="0" borderId="18" xfId="0" applyFont="1" applyBorder="1" applyAlignment="1">
      <alignment wrapText="1"/>
    </xf>
    <xf numFmtId="0" fontId="5" fillId="0" borderId="21" xfId="0" applyFont="1" applyBorder="1" applyAlignment="1">
      <alignment horizontal="center" wrapText="1"/>
    </xf>
    <xf numFmtId="2" fontId="6" fillId="0" borderId="25" xfId="0" applyNumberFormat="1" applyFont="1" applyBorder="1" applyAlignment="1">
      <alignment horizontal="right"/>
    </xf>
    <xf numFmtId="2" fontId="5" fillId="4" borderId="25" xfId="0" applyNumberFormat="1" applyFont="1" applyFill="1" applyBorder="1" applyAlignment="1">
      <alignment horizontal="right"/>
    </xf>
    <xf numFmtId="2" fontId="5" fillId="0" borderId="25" xfId="0" applyNumberFormat="1" applyFont="1" applyFill="1" applyBorder="1" applyAlignment="1">
      <alignment horizontal="right"/>
    </xf>
    <xf numFmtId="2" fontId="5" fillId="0" borderId="25" xfId="0" applyNumberFormat="1" applyFont="1" applyBorder="1" applyAlignment="1">
      <alignment horizontal="right"/>
    </xf>
    <xf numFmtId="2" fontId="5" fillId="0" borderId="26" xfId="0" applyNumberFormat="1" applyFont="1" applyBorder="1" applyAlignment="1">
      <alignment horizontal="right"/>
    </xf>
    <xf numFmtId="2" fontId="5" fillId="4" borderId="27" xfId="0" applyNumberFormat="1" applyFont="1" applyFill="1" applyBorder="1" applyAlignment="1">
      <alignment horizontal="right"/>
    </xf>
    <xf numFmtId="2" fontId="5" fillId="4" borderId="28" xfId="0" applyNumberFormat="1" applyFont="1" applyFill="1" applyBorder="1" applyAlignment="1">
      <alignment horizontal="right"/>
    </xf>
    <xf numFmtId="2" fontId="5" fillId="0" borderId="29" xfId="0" applyNumberFormat="1" applyFont="1" applyBorder="1" applyAlignment="1">
      <alignment/>
    </xf>
    <xf numFmtId="2" fontId="5" fillId="0" borderId="25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2" fontId="5" fillId="4" borderId="22" xfId="0" applyNumberFormat="1" applyFont="1" applyFill="1" applyBorder="1" applyAlignment="1">
      <alignment/>
    </xf>
    <xf numFmtId="0" fontId="0" fillId="4" borderId="23" xfId="0" applyFill="1" applyBorder="1" applyAlignment="1">
      <alignment/>
    </xf>
    <xf numFmtId="0" fontId="5" fillId="0" borderId="10" xfId="0" applyFont="1" applyBorder="1" applyAlignment="1">
      <alignment/>
    </xf>
    <xf numFmtId="0" fontId="5" fillId="0" borderId="30" xfId="0" applyFont="1" applyBorder="1" applyAlignment="1">
      <alignment wrapText="1"/>
    </xf>
    <xf numFmtId="0" fontId="6" fillId="0" borderId="31" xfId="0" applyFont="1" applyBorder="1" applyAlignment="1">
      <alignment horizontal="center" wrapText="1"/>
    </xf>
    <xf numFmtId="0" fontId="5" fillId="0" borderId="31" xfId="0" applyFont="1" applyBorder="1" applyAlignment="1">
      <alignment horizontal="right"/>
    </xf>
    <xf numFmtId="0" fontId="5" fillId="4" borderId="31" xfId="0" applyFont="1" applyFill="1" applyBorder="1" applyAlignment="1">
      <alignment horizontal="right"/>
    </xf>
    <xf numFmtId="164" fontId="5" fillId="0" borderId="32" xfId="0" applyNumberFormat="1" applyFont="1" applyBorder="1" applyAlignment="1">
      <alignment horizontal="right"/>
    </xf>
    <xf numFmtId="164" fontId="5" fillId="4" borderId="30" xfId="0" applyNumberFormat="1" applyFont="1" applyFill="1" applyBorder="1" applyAlignment="1">
      <alignment horizontal="right"/>
    </xf>
    <xf numFmtId="164" fontId="5" fillId="4" borderId="33" xfId="0" applyNumberFormat="1" applyFont="1" applyFill="1" applyBorder="1" applyAlignment="1">
      <alignment horizontal="right"/>
    </xf>
    <xf numFmtId="164" fontId="5" fillId="0" borderId="34" xfId="0" applyNumberFormat="1" applyFont="1" applyBorder="1" applyAlignment="1">
      <alignment/>
    </xf>
    <xf numFmtId="164" fontId="5" fillId="0" borderId="31" xfId="0" applyNumberFormat="1" applyFont="1" applyBorder="1" applyAlignment="1">
      <alignment/>
    </xf>
    <xf numFmtId="164" fontId="5" fillId="0" borderId="32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0" fontId="6" fillId="0" borderId="35" xfId="0" applyFont="1" applyBorder="1" applyAlignment="1">
      <alignment wrapText="1"/>
    </xf>
    <xf numFmtId="0" fontId="6" fillId="0" borderId="35" xfId="0" applyFont="1" applyBorder="1" applyAlignment="1">
      <alignment horizontal="center" wrapText="1"/>
    </xf>
    <xf numFmtId="0" fontId="6" fillId="0" borderId="35" xfId="0" applyFont="1" applyBorder="1" applyAlignment="1">
      <alignment horizontal="right"/>
    </xf>
    <xf numFmtId="0" fontId="6" fillId="4" borderId="35" xfId="0" applyFont="1" applyFill="1" applyBorder="1" applyAlignment="1">
      <alignment horizontal="right"/>
    </xf>
    <xf numFmtId="0" fontId="5" fillId="0" borderId="35" xfId="0" applyFont="1" applyBorder="1" applyAlignment="1">
      <alignment horizontal="right"/>
    </xf>
    <xf numFmtId="164" fontId="6" fillId="0" borderId="36" xfId="0" applyNumberFormat="1" applyFont="1" applyBorder="1" applyAlignment="1">
      <alignment horizontal="right"/>
    </xf>
    <xf numFmtId="164" fontId="6" fillId="4" borderId="37" xfId="0" applyNumberFormat="1" applyFont="1" applyFill="1" applyBorder="1" applyAlignment="1">
      <alignment horizontal="right"/>
    </xf>
    <xf numFmtId="0" fontId="6" fillId="4" borderId="38" xfId="0" applyFont="1" applyFill="1" applyBorder="1" applyAlignment="1">
      <alignment horizontal="right"/>
    </xf>
    <xf numFmtId="2" fontId="5" fillId="0" borderId="39" xfId="0" applyNumberFormat="1" applyFont="1" applyBorder="1" applyAlignment="1">
      <alignment/>
    </xf>
    <xf numFmtId="2" fontId="5" fillId="0" borderId="35" xfId="0" applyNumberFormat="1" applyFont="1" applyBorder="1" applyAlignment="1">
      <alignment/>
    </xf>
    <xf numFmtId="2" fontId="5" fillId="0" borderId="36" xfId="0" applyNumberFormat="1" applyFont="1" applyBorder="1" applyAlignment="1">
      <alignment/>
    </xf>
    <xf numFmtId="2" fontId="5" fillId="4" borderId="16" xfId="0" applyNumberFormat="1" applyFont="1" applyFill="1" applyBorder="1" applyAlignment="1">
      <alignment/>
    </xf>
    <xf numFmtId="0" fontId="5" fillId="0" borderId="13" xfId="0" applyFont="1" applyBorder="1" applyAlignment="1">
      <alignment horizontal="right"/>
    </xf>
    <xf numFmtId="4" fontId="5" fillId="4" borderId="16" xfId="0" applyNumberFormat="1" applyFont="1" applyFill="1" applyBorder="1" applyAlignment="1">
      <alignment wrapText="1"/>
    </xf>
    <xf numFmtId="4" fontId="5" fillId="4" borderId="17" xfId="0" applyNumberFormat="1" applyFont="1" applyFill="1" applyBorder="1" applyAlignment="1">
      <alignment wrapText="1"/>
    </xf>
    <xf numFmtId="0" fontId="5" fillId="4" borderId="13" xfId="0" applyFont="1" applyFill="1" applyBorder="1" applyAlignment="1">
      <alignment horizontal="right"/>
    </xf>
    <xf numFmtId="2" fontId="6" fillId="4" borderId="16" xfId="0" applyNumberFormat="1" applyFont="1" applyFill="1" applyBorder="1" applyAlignment="1">
      <alignment/>
    </xf>
    <xf numFmtId="4" fontId="5" fillId="0" borderId="18" xfId="0" applyNumberFormat="1" applyFont="1" applyFill="1" applyBorder="1" applyAlignment="1">
      <alignment horizontal="right" wrapText="1"/>
    </xf>
    <xf numFmtId="4" fontId="5" fillId="4" borderId="18" xfId="0" applyNumberFormat="1" applyFont="1" applyFill="1" applyBorder="1" applyAlignment="1">
      <alignment horizontal="right"/>
    </xf>
    <xf numFmtId="4" fontId="5" fillId="0" borderId="18" xfId="0" applyNumberFormat="1" applyFont="1" applyBorder="1" applyAlignment="1">
      <alignment horizontal="right"/>
    </xf>
    <xf numFmtId="4" fontId="5" fillId="0" borderId="21" xfId="0" applyNumberFormat="1" applyFont="1" applyFill="1" applyBorder="1" applyAlignment="1">
      <alignment horizontal="right" wrapText="1"/>
    </xf>
    <xf numFmtId="4" fontId="5" fillId="4" borderId="22" xfId="0" applyNumberFormat="1" applyFont="1" applyFill="1" applyBorder="1" applyAlignment="1">
      <alignment horizontal="right"/>
    </xf>
    <xf numFmtId="4" fontId="5" fillId="4" borderId="23" xfId="0" applyNumberFormat="1" applyFont="1" applyFill="1" applyBorder="1" applyAlignment="1">
      <alignment horizontal="right"/>
    </xf>
    <xf numFmtId="4" fontId="6" fillId="0" borderId="15" xfId="0" applyNumberFormat="1" applyFont="1" applyFill="1" applyBorder="1" applyAlignment="1">
      <alignment horizontal="right" wrapText="1"/>
    </xf>
    <xf numFmtId="4" fontId="6" fillId="0" borderId="13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4" fontId="6" fillId="4" borderId="16" xfId="0" applyNumberFormat="1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2" fontId="6" fillId="4" borderId="13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2" fontId="6" fillId="0" borderId="15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39" xfId="0" applyNumberFormat="1" applyFont="1" applyBorder="1" applyAlignment="1">
      <alignment/>
    </xf>
    <xf numFmtId="2" fontId="6" fillId="0" borderId="40" xfId="0" applyNumberFormat="1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0" fontId="5" fillId="0" borderId="18" xfId="0" applyFont="1" applyBorder="1" applyAlignment="1">
      <alignment horizontal="center" wrapText="1"/>
    </xf>
    <xf numFmtId="4" fontId="5" fillId="4" borderId="18" xfId="0" applyNumberFormat="1" applyFont="1" applyFill="1" applyBorder="1" applyAlignment="1">
      <alignment/>
    </xf>
    <xf numFmtId="4" fontId="5" fillId="4" borderId="21" xfId="0" applyNumberFormat="1" applyFont="1" applyFill="1" applyBorder="1" applyAlignment="1">
      <alignment/>
    </xf>
    <xf numFmtId="4" fontId="5" fillId="4" borderId="22" xfId="0" applyNumberFormat="1" applyFont="1" applyFill="1" applyBorder="1" applyAlignment="1">
      <alignment/>
    </xf>
    <xf numFmtId="4" fontId="5" fillId="4" borderId="23" xfId="0" applyNumberFormat="1" applyFont="1" applyFill="1" applyBorder="1" applyAlignment="1">
      <alignment/>
    </xf>
    <xf numFmtId="2" fontId="5" fillId="0" borderId="24" xfId="0" applyNumberFormat="1" applyFont="1" applyFill="1" applyBorder="1" applyAlignment="1">
      <alignment/>
    </xf>
    <xf numFmtId="2" fontId="5" fillId="0" borderId="18" xfId="0" applyNumberFormat="1" applyFont="1" applyFill="1" applyBorder="1" applyAlignment="1">
      <alignment/>
    </xf>
    <xf numFmtId="2" fontId="5" fillId="0" borderId="21" xfId="0" applyNumberFormat="1" applyFont="1" applyFill="1" applyBorder="1" applyAlignment="1">
      <alignment/>
    </xf>
    <xf numFmtId="2" fontId="9" fillId="4" borderId="22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8" xfId="0" applyFont="1" applyFill="1" applyBorder="1" applyAlignment="1">
      <alignment wrapText="1"/>
    </xf>
    <xf numFmtId="0" fontId="6" fillId="0" borderId="18" xfId="0" applyFont="1" applyBorder="1" applyAlignment="1">
      <alignment horizontal="center" wrapText="1"/>
    </xf>
    <xf numFmtId="4" fontId="6" fillId="4" borderId="18" xfId="0" applyNumberFormat="1" applyFont="1" applyFill="1" applyBorder="1" applyAlignment="1">
      <alignment/>
    </xf>
    <xf numFmtId="4" fontId="6" fillId="4" borderId="21" xfId="0" applyNumberFormat="1" applyFont="1" applyFill="1" applyBorder="1" applyAlignment="1">
      <alignment/>
    </xf>
    <xf numFmtId="4" fontId="6" fillId="4" borderId="24" xfId="0" applyNumberFormat="1" applyFont="1" applyFill="1" applyBorder="1" applyAlignment="1">
      <alignment/>
    </xf>
    <xf numFmtId="4" fontId="5" fillId="4" borderId="23" xfId="0" applyNumberFormat="1" applyFont="1" applyFill="1" applyBorder="1" applyAlignment="1">
      <alignment wrapText="1"/>
    </xf>
    <xf numFmtId="0" fontId="10" fillId="0" borderId="0" xfId="0" applyFont="1" applyAlignment="1">
      <alignment/>
    </xf>
    <xf numFmtId="164" fontId="5" fillId="4" borderId="41" xfId="0" applyNumberFormat="1" applyFont="1" applyFill="1" applyBorder="1" applyAlignment="1">
      <alignment/>
    </xf>
    <xf numFmtId="164" fontId="5" fillId="4" borderId="42" xfId="0" applyNumberFormat="1" applyFont="1" applyFill="1" applyBorder="1" applyAlignment="1">
      <alignment/>
    </xf>
    <xf numFmtId="4" fontId="5" fillId="4" borderId="37" xfId="0" applyNumberFormat="1" applyFont="1" applyFill="1" applyBorder="1" applyAlignment="1">
      <alignment wrapText="1"/>
    </xf>
    <xf numFmtId="4" fontId="5" fillId="4" borderId="38" xfId="0" applyNumberFormat="1" applyFont="1" applyFill="1" applyBorder="1" applyAlignment="1">
      <alignment wrapText="1"/>
    </xf>
    <xf numFmtId="164" fontId="6" fillId="4" borderId="17" xfId="0" applyNumberFormat="1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4" fontId="6" fillId="4" borderId="13" xfId="0" applyNumberFormat="1" applyFont="1" applyFill="1" applyBorder="1" applyAlignment="1">
      <alignment/>
    </xf>
    <xf numFmtId="4" fontId="5" fillId="4" borderId="13" xfId="0" applyNumberFormat="1" applyFont="1" applyFill="1" applyBorder="1" applyAlignment="1">
      <alignment/>
    </xf>
    <xf numFmtId="4" fontId="6" fillId="4" borderId="10" xfId="0" applyNumberFormat="1" applyFont="1" applyFill="1" applyBorder="1" applyAlignment="1">
      <alignment/>
    </xf>
    <xf numFmtId="4" fontId="5" fillId="4" borderId="16" xfId="0" applyNumberFormat="1" applyFont="1" applyFill="1" applyBorder="1" applyAlignment="1">
      <alignment/>
    </xf>
    <xf numFmtId="4" fontId="5" fillId="4" borderId="17" xfId="0" applyNumberFormat="1" applyFont="1" applyFill="1" applyBorder="1" applyAlignment="1">
      <alignment/>
    </xf>
    <xf numFmtId="4" fontId="6" fillId="4" borderId="15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3" xfId="0" applyNumberFormat="1" applyFont="1" applyFill="1" applyBorder="1" applyAlignment="1">
      <alignment horizontal="right" wrapText="1"/>
    </xf>
    <xf numFmtId="2" fontId="5" fillId="4" borderId="13" xfId="0" applyNumberFormat="1" applyFont="1" applyFill="1" applyBorder="1" applyAlignment="1">
      <alignment horizontal="right"/>
    </xf>
    <xf numFmtId="2" fontId="5" fillId="0" borderId="13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 wrapText="1"/>
    </xf>
    <xf numFmtId="4" fontId="5" fillId="4" borderId="16" xfId="0" applyNumberFormat="1" applyFont="1" applyFill="1" applyBorder="1" applyAlignment="1">
      <alignment horizontal="right"/>
    </xf>
    <xf numFmtId="4" fontId="5" fillId="4" borderId="17" xfId="0" applyNumberFormat="1" applyFont="1" applyFill="1" applyBorder="1" applyAlignment="1">
      <alignment horizontal="right"/>
    </xf>
    <xf numFmtId="4" fontId="5" fillId="0" borderId="15" xfId="0" applyNumberFormat="1" applyFont="1" applyFill="1" applyBorder="1" applyAlignment="1">
      <alignment horizontal="right" wrapText="1"/>
    </xf>
    <xf numFmtId="4" fontId="5" fillId="4" borderId="13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49" fontId="5" fillId="7" borderId="41" xfId="0" applyNumberFormat="1" applyFont="1" applyFill="1" applyBorder="1" applyAlignment="1">
      <alignment horizontal="right"/>
    </xf>
    <xf numFmtId="0" fontId="5" fillId="7" borderId="43" xfId="0" applyFont="1" applyFill="1" applyBorder="1" applyAlignment="1">
      <alignment wrapText="1"/>
    </xf>
    <xf numFmtId="0" fontId="5" fillId="7" borderId="44" xfId="0" applyFont="1" applyFill="1" applyBorder="1" applyAlignment="1">
      <alignment horizontal="center" wrapText="1"/>
    </xf>
    <xf numFmtId="4" fontId="5" fillId="7" borderId="43" xfId="0" applyNumberFormat="1" applyFont="1" applyFill="1" applyBorder="1" applyAlignment="1">
      <alignment horizontal="right"/>
    </xf>
    <xf numFmtId="4" fontId="5" fillId="7" borderId="45" xfId="0" applyNumberFormat="1" applyFont="1" applyFill="1" applyBorder="1" applyAlignment="1">
      <alignment horizontal="right"/>
    </xf>
    <xf numFmtId="4" fontId="5" fillId="7" borderId="41" xfId="0" applyNumberFormat="1" applyFont="1" applyFill="1" applyBorder="1" applyAlignment="1">
      <alignment horizontal="right"/>
    </xf>
    <xf numFmtId="4" fontId="5" fillId="7" borderId="42" xfId="0" applyNumberFormat="1" applyFont="1" applyFill="1" applyBorder="1" applyAlignment="1">
      <alignment horizontal="right"/>
    </xf>
    <xf numFmtId="4" fontId="5" fillId="7" borderId="46" xfId="0" applyNumberFormat="1" applyFont="1" applyFill="1" applyBorder="1" applyAlignment="1">
      <alignment horizontal="right"/>
    </xf>
    <xf numFmtId="4" fontId="11" fillId="7" borderId="42" xfId="0" applyNumberFormat="1" applyFont="1" applyFill="1" applyBorder="1" applyAlignment="1">
      <alignment horizontal="right"/>
    </xf>
    <xf numFmtId="49" fontId="5" fillId="7" borderId="22" xfId="0" applyNumberFormat="1" applyFont="1" applyFill="1" applyBorder="1" applyAlignment="1">
      <alignment horizontal="right"/>
    </xf>
    <xf numFmtId="0" fontId="5" fillId="7" borderId="18" xfId="0" applyFont="1" applyFill="1" applyBorder="1" applyAlignment="1">
      <alignment wrapText="1"/>
    </xf>
    <xf numFmtId="0" fontId="5" fillId="7" borderId="18" xfId="0" applyFont="1" applyFill="1" applyBorder="1" applyAlignment="1">
      <alignment horizontal="center" wrapText="1"/>
    </xf>
    <xf numFmtId="4" fontId="5" fillId="7" borderId="18" xfId="0" applyNumberFormat="1" applyFont="1" applyFill="1" applyBorder="1" applyAlignment="1">
      <alignment horizontal="right"/>
    </xf>
    <xf numFmtId="4" fontId="5" fillId="7" borderId="21" xfId="0" applyNumberFormat="1" applyFont="1" applyFill="1" applyBorder="1" applyAlignment="1">
      <alignment horizontal="right"/>
    </xf>
    <xf numFmtId="4" fontId="5" fillId="7" borderId="24" xfId="0" applyNumberFormat="1" applyFont="1" applyFill="1" applyBorder="1" applyAlignment="1">
      <alignment horizontal="right"/>
    </xf>
    <xf numFmtId="4" fontId="5" fillId="7" borderId="22" xfId="0" applyNumberFormat="1" applyFont="1" applyFill="1" applyBorder="1" applyAlignment="1">
      <alignment horizontal="right"/>
    </xf>
    <xf numFmtId="4" fontId="11" fillId="7" borderId="23" xfId="0" applyNumberFormat="1" applyFont="1" applyFill="1" applyBorder="1" applyAlignment="1">
      <alignment horizontal="right"/>
    </xf>
    <xf numFmtId="49" fontId="44" fillId="0" borderId="13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5" fillId="0" borderId="18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/>
    </xf>
    <xf numFmtId="0" fontId="5" fillId="0" borderId="35" xfId="0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PageLayoutView="0" workbookViewId="0" topLeftCell="A1">
      <pane xSplit="2" ySplit="6" topLeftCell="K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W26" sqref="W26"/>
    </sheetView>
  </sheetViews>
  <sheetFormatPr defaultColWidth="9.140625" defaultRowHeight="15"/>
  <cols>
    <col min="1" max="1" width="5.7109375" style="0" customWidth="1"/>
    <col min="2" max="2" width="31.00390625" style="0" customWidth="1"/>
    <col min="3" max="3" width="11.7109375" style="0" customWidth="1"/>
    <col min="4" max="4" width="10.8515625" style="0" customWidth="1"/>
    <col min="5" max="5" width="10.7109375" style="0" customWidth="1"/>
    <col min="6" max="6" width="10.8515625" style="0" customWidth="1"/>
    <col min="7" max="7" width="11.421875" style="0" customWidth="1"/>
    <col min="8" max="8" width="10.7109375" style="0" customWidth="1"/>
    <col min="9" max="10" width="10.00390625" style="0" customWidth="1"/>
    <col min="11" max="11" width="12.140625" style="0" customWidth="1"/>
    <col min="12" max="12" width="12.28125" style="0" customWidth="1"/>
    <col min="13" max="13" width="10.00390625" style="0" customWidth="1"/>
    <col min="14" max="14" width="11.140625" style="0" customWidth="1"/>
    <col min="15" max="16" width="10.8515625" style="0" customWidth="1"/>
    <col min="17" max="17" width="12.28125" style="0" customWidth="1"/>
    <col min="18" max="18" width="10.421875" style="0" customWidth="1"/>
    <col min="19" max="19" width="10.8515625" style="0" customWidth="1"/>
    <col min="20" max="20" width="10.140625" style="0" customWidth="1"/>
    <col min="21" max="21" width="11.00390625" style="0" customWidth="1"/>
    <col min="22" max="22" width="12.421875" style="0" customWidth="1"/>
  </cols>
  <sheetData>
    <row r="1" spans="1:2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>
      <c r="A2" s="202" t="s">
        <v>48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44"/>
      <c r="S2" s="44"/>
      <c r="T2" s="44"/>
      <c r="U2" s="45"/>
    </row>
    <row r="3" spans="1:21" ht="15.75" thickBot="1">
      <c r="A3" s="203" t="s">
        <v>0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1"/>
      <c r="S3" s="1"/>
      <c r="T3" s="1"/>
      <c r="U3" s="1"/>
    </row>
    <row r="4" spans="1:22" ht="25.5" customHeight="1">
      <c r="A4" s="198" t="s">
        <v>1</v>
      </c>
      <c r="B4" s="200" t="s">
        <v>2</v>
      </c>
      <c r="C4" s="198" t="s">
        <v>3</v>
      </c>
      <c r="D4" s="2" t="s">
        <v>4</v>
      </c>
      <c r="E4" s="3" t="s">
        <v>5</v>
      </c>
      <c r="F4" s="3" t="s">
        <v>6</v>
      </c>
      <c r="G4" s="46" t="s">
        <v>7</v>
      </c>
      <c r="H4" s="3" t="s">
        <v>8</v>
      </c>
      <c r="I4" s="3" t="s">
        <v>9</v>
      </c>
      <c r="J4" s="3" t="s">
        <v>10</v>
      </c>
      <c r="K4" s="46" t="s">
        <v>11</v>
      </c>
      <c r="L4" s="2" t="s">
        <v>37</v>
      </c>
      <c r="M4" s="3" t="s">
        <v>12</v>
      </c>
      <c r="N4" s="3" t="s">
        <v>13</v>
      </c>
      <c r="O4" s="4" t="s">
        <v>14</v>
      </c>
      <c r="P4" s="47" t="s">
        <v>15</v>
      </c>
      <c r="Q4" s="6" t="s">
        <v>38</v>
      </c>
      <c r="R4" s="48" t="s">
        <v>39</v>
      </c>
      <c r="S4" s="49" t="s">
        <v>40</v>
      </c>
      <c r="T4" s="3" t="s">
        <v>41</v>
      </c>
      <c r="U4" s="5" t="s">
        <v>42</v>
      </c>
      <c r="V4" s="50" t="s">
        <v>36</v>
      </c>
    </row>
    <row r="5" spans="1:22" ht="15">
      <c r="A5" s="199"/>
      <c r="B5" s="201"/>
      <c r="C5" s="199"/>
      <c r="D5" s="7" t="s">
        <v>16</v>
      </c>
      <c r="E5" s="7" t="s">
        <v>16</v>
      </c>
      <c r="F5" s="7" t="s">
        <v>16</v>
      </c>
      <c r="G5" s="51" t="s">
        <v>16</v>
      </c>
      <c r="H5" s="7" t="s">
        <v>16</v>
      </c>
      <c r="I5" s="7" t="s">
        <v>16</v>
      </c>
      <c r="J5" s="7" t="s">
        <v>16</v>
      </c>
      <c r="K5" s="51" t="s">
        <v>16</v>
      </c>
      <c r="L5" s="7" t="s">
        <v>16</v>
      </c>
      <c r="M5" s="7" t="s">
        <v>16</v>
      </c>
      <c r="N5" s="7" t="s">
        <v>16</v>
      </c>
      <c r="O5" s="2" t="s">
        <v>16</v>
      </c>
      <c r="P5" s="10" t="s">
        <v>16</v>
      </c>
      <c r="Q5" s="11" t="s">
        <v>16</v>
      </c>
      <c r="R5" s="9" t="s">
        <v>16</v>
      </c>
      <c r="S5" s="7" t="s">
        <v>16</v>
      </c>
      <c r="T5" s="2" t="s">
        <v>16</v>
      </c>
      <c r="U5" s="10" t="s">
        <v>16</v>
      </c>
      <c r="V5" s="8" t="s">
        <v>16</v>
      </c>
    </row>
    <row r="6" spans="1:22" ht="15">
      <c r="A6" s="12">
        <v>1</v>
      </c>
      <c r="B6" s="12">
        <v>2</v>
      </c>
      <c r="C6" s="12">
        <v>3</v>
      </c>
      <c r="D6" s="12">
        <v>5</v>
      </c>
      <c r="E6" s="12">
        <v>6</v>
      </c>
      <c r="F6" s="52">
        <v>7</v>
      </c>
      <c r="G6" s="53">
        <v>8</v>
      </c>
      <c r="H6" s="52">
        <v>9</v>
      </c>
      <c r="I6" s="52">
        <v>10</v>
      </c>
      <c r="J6" s="52">
        <v>11</v>
      </c>
      <c r="K6" s="53">
        <v>12</v>
      </c>
      <c r="L6" s="52">
        <v>13</v>
      </c>
      <c r="M6" s="52">
        <v>14</v>
      </c>
      <c r="N6" s="52">
        <v>15</v>
      </c>
      <c r="O6" s="54">
        <v>16</v>
      </c>
      <c r="P6" s="55">
        <v>17</v>
      </c>
      <c r="Q6" s="56">
        <v>18</v>
      </c>
      <c r="R6" s="57">
        <v>19</v>
      </c>
      <c r="S6" s="52">
        <v>20</v>
      </c>
      <c r="T6" s="13">
        <v>21</v>
      </c>
      <c r="U6" s="14">
        <v>22</v>
      </c>
      <c r="V6" s="14">
        <v>23</v>
      </c>
    </row>
    <row r="7" spans="1:22" ht="39" customHeight="1">
      <c r="A7" s="22">
        <v>1</v>
      </c>
      <c r="B7" s="20" t="s">
        <v>20</v>
      </c>
      <c r="C7" s="16" t="s">
        <v>21</v>
      </c>
      <c r="D7" s="23">
        <v>4472</v>
      </c>
      <c r="E7" s="59">
        <f>D7</f>
        <v>4472</v>
      </c>
      <c r="F7" s="22">
        <f>E7</f>
        <v>4472</v>
      </c>
      <c r="G7" s="60">
        <f>F7</f>
        <v>4472</v>
      </c>
      <c r="H7" s="22">
        <f>F7</f>
        <v>4472</v>
      </c>
      <c r="I7" s="22">
        <f>H7</f>
        <v>4472</v>
      </c>
      <c r="J7" s="22">
        <f>I7</f>
        <v>4472</v>
      </c>
      <c r="K7" s="60">
        <v>4472</v>
      </c>
      <c r="L7" s="22">
        <v>4472</v>
      </c>
      <c r="M7" s="22">
        <v>4472</v>
      </c>
      <c r="N7" s="22">
        <f>M7</f>
        <v>4472</v>
      </c>
      <c r="O7" s="61">
        <f>N7</f>
        <v>4472</v>
      </c>
      <c r="P7" s="62">
        <v>4472</v>
      </c>
      <c r="Q7" s="63">
        <v>4472</v>
      </c>
      <c r="R7" s="64">
        <f>ROUND(O7,2)</f>
        <v>4472</v>
      </c>
      <c r="S7" s="22">
        <f>R7</f>
        <v>4472</v>
      </c>
      <c r="T7" s="65">
        <f>S7</f>
        <v>4472</v>
      </c>
      <c r="U7" s="66">
        <f>T7</f>
        <v>4472</v>
      </c>
      <c r="V7" s="58"/>
    </row>
    <row r="8" spans="1:22" ht="15">
      <c r="A8" s="22"/>
      <c r="B8" s="24" t="s">
        <v>22</v>
      </c>
      <c r="C8" s="25" t="s">
        <v>43</v>
      </c>
      <c r="D8" s="26">
        <v>8121</v>
      </c>
      <c r="E8" s="67">
        <v>8123</v>
      </c>
      <c r="F8" s="68">
        <v>8127</v>
      </c>
      <c r="G8" s="69">
        <f>G9/G11</f>
        <v>8123.214248218316</v>
      </c>
      <c r="H8" s="70">
        <v>8139</v>
      </c>
      <c r="I8" s="17">
        <v>8173</v>
      </c>
      <c r="J8" s="17">
        <v>8183</v>
      </c>
      <c r="K8" s="69">
        <f>K9/K11</f>
        <v>8163.980650061295</v>
      </c>
      <c r="L8" s="71">
        <f>L9/L11</f>
        <v>8138.987506350462</v>
      </c>
      <c r="M8" s="17">
        <v>8181</v>
      </c>
      <c r="N8" s="17">
        <v>8257</v>
      </c>
      <c r="O8" s="18">
        <v>8246</v>
      </c>
      <c r="P8" s="19">
        <f>P9/P11</f>
        <v>8226.116963440261</v>
      </c>
      <c r="Q8" s="72">
        <f>Q9/Q11</f>
        <v>8165.2349157153</v>
      </c>
      <c r="R8" s="64">
        <v>8192</v>
      </c>
      <c r="S8" s="22">
        <v>8174</v>
      </c>
      <c r="T8" s="65">
        <v>8164</v>
      </c>
      <c r="U8" s="27">
        <f>ROUND(U9/U11,0)</f>
        <v>8175</v>
      </c>
      <c r="V8" s="73">
        <f>ROUND(V9/V11,0)</f>
        <v>8168</v>
      </c>
    </row>
    <row r="9" spans="1:22" ht="17.25" customHeight="1">
      <c r="A9" s="22"/>
      <c r="B9" s="24" t="s">
        <v>23</v>
      </c>
      <c r="C9" s="25"/>
      <c r="D9" s="23">
        <f>ROUND(D8*D11,2)</f>
        <v>10995289.89</v>
      </c>
      <c r="E9" s="28">
        <f>ROUND(E8*E11,2)</f>
        <v>8106973.32</v>
      </c>
      <c r="F9" s="23">
        <f>ROUND(F8*F11,2)</f>
        <v>6894816.77</v>
      </c>
      <c r="G9" s="74">
        <f>SUM(D9:F9)</f>
        <v>25997079.98</v>
      </c>
      <c r="H9" s="23">
        <f>ROUND(H8*H11,2)</f>
        <v>5928585.96</v>
      </c>
      <c r="I9" s="23">
        <f>ROUND(I8*I11,2)</f>
        <v>5201248.16</v>
      </c>
      <c r="J9" s="23">
        <f>ROUND(J8*J11,2)</f>
        <v>5359349.47</v>
      </c>
      <c r="K9" s="74">
        <f>SUM(H9:J9)</f>
        <v>16489183.59</v>
      </c>
      <c r="L9" s="23">
        <f>G9+K9</f>
        <v>42486263.57</v>
      </c>
      <c r="M9" s="23">
        <f>ROUND(M8*M11,2)</f>
        <v>6737266.21</v>
      </c>
      <c r="N9" s="23">
        <f>ROUND(N8*N11,2)</f>
        <v>6592677.8</v>
      </c>
      <c r="O9" s="28">
        <f>ROUND(O8*O11,2)</f>
        <v>5182775.92</v>
      </c>
      <c r="P9" s="30">
        <f>M9+N9+O9</f>
        <v>18512719.93</v>
      </c>
      <c r="Q9" s="31">
        <f>P9+L9</f>
        <v>60998983.5</v>
      </c>
      <c r="R9" s="29">
        <f>ROUND(R8*R11,2)</f>
        <v>6898614.27</v>
      </c>
      <c r="S9" s="23">
        <f>ROUND(S8*S11,2)</f>
        <v>8041131.63</v>
      </c>
      <c r="T9" s="28">
        <f>ROUND(T8*T11,2)</f>
        <v>9555292.55</v>
      </c>
      <c r="U9" s="62">
        <f>SUM(R9:T9)</f>
        <v>24495038.45</v>
      </c>
      <c r="V9" s="63">
        <f>Q9+U9</f>
        <v>85494021.95</v>
      </c>
    </row>
    <row r="10" spans="1:22" ht="25.5" thickBot="1">
      <c r="A10" s="32">
        <v>2</v>
      </c>
      <c r="B10" s="75" t="s">
        <v>24</v>
      </c>
      <c r="C10" s="76" t="s">
        <v>21</v>
      </c>
      <c r="D10" s="42">
        <f>ROUND(D8/7900*D7,2)</f>
        <v>4597.1</v>
      </c>
      <c r="E10" s="42">
        <v>4598.24</v>
      </c>
      <c r="F10" s="77">
        <f aca="true" t="shared" si="0" ref="F10:N10">ROUND(F8/7900*F7,2)</f>
        <v>4600.5</v>
      </c>
      <c r="G10" s="78">
        <f t="shared" si="0"/>
        <v>4598.36</v>
      </c>
      <c r="H10" s="77">
        <f t="shared" si="0"/>
        <v>4607.29</v>
      </c>
      <c r="I10" s="77">
        <f t="shared" si="0"/>
        <v>4626.54</v>
      </c>
      <c r="J10" s="77">
        <f t="shared" si="0"/>
        <v>4632.2</v>
      </c>
      <c r="K10" s="78">
        <f t="shared" si="0"/>
        <v>4621.43</v>
      </c>
      <c r="L10" s="79">
        <f t="shared" si="0"/>
        <v>4607.29</v>
      </c>
      <c r="M10" s="80">
        <f t="shared" si="0"/>
        <v>4631.07</v>
      </c>
      <c r="N10" s="80">
        <f t="shared" si="0"/>
        <v>4674.09</v>
      </c>
      <c r="O10" s="81">
        <f>ROUND(O8/7900*O7,2)</f>
        <v>4667.86</v>
      </c>
      <c r="P10" s="82">
        <f>ROUND(P8/7900*P7,2)</f>
        <v>4656.61</v>
      </c>
      <c r="Q10" s="83">
        <f>ROUND(Q8/7900*Q7,3)</f>
        <v>4622.143</v>
      </c>
      <c r="R10" s="84">
        <f>ROUND(R8/7900*R7,2)</f>
        <v>4637.29</v>
      </c>
      <c r="S10" s="85">
        <f>ROUND(S8/7900*S7,2)+0.01</f>
        <v>4627.110000000001</v>
      </c>
      <c r="T10" s="86">
        <f>ROUND(T8/7900*T7,2)</f>
        <v>4621.44</v>
      </c>
      <c r="U10" s="87"/>
      <c r="V10" s="88"/>
    </row>
    <row r="11" spans="1:22" ht="15.75" thickBot="1">
      <c r="A11" s="89">
        <v>3</v>
      </c>
      <c r="B11" s="90" t="s">
        <v>17</v>
      </c>
      <c r="C11" s="91" t="s">
        <v>18</v>
      </c>
      <c r="D11" s="92">
        <v>1353.933</v>
      </c>
      <c r="E11" s="92">
        <v>998.027</v>
      </c>
      <c r="F11" s="92">
        <v>848.384</v>
      </c>
      <c r="G11" s="93">
        <f>D11+E11+F11</f>
        <v>3200.344</v>
      </c>
      <c r="H11" s="92">
        <v>728.417</v>
      </c>
      <c r="I11" s="92">
        <v>636.394</v>
      </c>
      <c r="J11" s="92">
        <v>654.937</v>
      </c>
      <c r="K11" s="93">
        <f>H11+I11+J11</f>
        <v>2019.748</v>
      </c>
      <c r="L11" s="92">
        <f>G11+K11</f>
        <v>5220.092000000001</v>
      </c>
      <c r="M11" s="92">
        <v>823.526</v>
      </c>
      <c r="N11" s="92">
        <v>798.435</v>
      </c>
      <c r="O11" s="94">
        <v>628.52</v>
      </c>
      <c r="P11" s="95">
        <f>M11+N11+O11</f>
        <v>2250.4809999999998</v>
      </c>
      <c r="Q11" s="96">
        <f>P11+L11</f>
        <v>7470.573</v>
      </c>
      <c r="R11" s="97">
        <v>842.116</v>
      </c>
      <c r="S11" s="98">
        <v>983.745</v>
      </c>
      <c r="T11" s="99">
        <v>1170.418</v>
      </c>
      <c r="U11" s="155">
        <f>R11+S11+T11</f>
        <v>2996.2789999999995</v>
      </c>
      <c r="V11" s="156">
        <f>U11+Q11</f>
        <v>10466.851999999999</v>
      </c>
    </row>
    <row r="12" spans="1:22" ht="15">
      <c r="A12" s="100"/>
      <c r="B12" s="101" t="s">
        <v>19</v>
      </c>
      <c r="C12" s="102" t="s">
        <v>18</v>
      </c>
      <c r="D12" s="103"/>
      <c r="E12" s="103"/>
      <c r="F12" s="103"/>
      <c r="G12" s="104">
        <v>0</v>
      </c>
      <c r="H12" s="103">
        <v>78.407</v>
      </c>
      <c r="I12" s="103">
        <v>146.408</v>
      </c>
      <c r="J12" s="103">
        <v>129.937</v>
      </c>
      <c r="K12" s="104">
        <f>H12+I12+J12</f>
        <v>354.752</v>
      </c>
      <c r="L12" s="105">
        <f>G12+K12</f>
        <v>354.752</v>
      </c>
      <c r="M12" s="103"/>
      <c r="N12" s="103"/>
      <c r="O12" s="106">
        <v>128.51</v>
      </c>
      <c r="P12" s="107">
        <f>O12</f>
        <v>128.51</v>
      </c>
      <c r="Q12" s="108">
        <f>L12+O12</f>
        <v>483.262</v>
      </c>
      <c r="R12" s="109"/>
      <c r="S12" s="110"/>
      <c r="T12" s="111"/>
      <c r="U12" s="112"/>
      <c r="V12" s="159">
        <f>U12+Q12</f>
        <v>483.262</v>
      </c>
    </row>
    <row r="13" spans="1:22" ht="24.75">
      <c r="A13" s="32">
        <v>4</v>
      </c>
      <c r="B13" s="167" t="s">
        <v>25</v>
      </c>
      <c r="C13" s="33"/>
      <c r="D13" s="168">
        <f>ROUND(D11*D10,2)</f>
        <v>6224165.39</v>
      </c>
      <c r="E13" s="168">
        <f>ROUND(E11*E10,2)</f>
        <v>4589167.67</v>
      </c>
      <c r="F13" s="168">
        <f>ROUND(F11*F10,2)</f>
        <v>3902990.59</v>
      </c>
      <c r="G13" s="169">
        <f>D13+E13+F13</f>
        <v>14716323.649999999</v>
      </c>
      <c r="H13" s="168">
        <f>ROUND(H11*H10,2)+0.01</f>
        <v>3356028.3699999996</v>
      </c>
      <c r="I13" s="168">
        <f>ROUND(I11*I10,2)</f>
        <v>2944302.3</v>
      </c>
      <c r="J13" s="168">
        <f>ROUND(J11*J10,2)</f>
        <v>3033799.17</v>
      </c>
      <c r="K13" s="169">
        <f>H13+I13+J13</f>
        <v>9334129.84</v>
      </c>
      <c r="L13" s="170">
        <f>G13+K13</f>
        <v>24050453.49</v>
      </c>
      <c r="M13" s="168">
        <f>ROUND(M11*M10,2)</f>
        <v>3813806.55</v>
      </c>
      <c r="N13" s="168">
        <f>ROUND(N11*N10,2)</f>
        <v>3731957.05</v>
      </c>
      <c r="O13" s="171">
        <f>ROUND(O11*O10,2)-0.01</f>
        <v>2933843.3600000003</v>
      </c>
      <c r="P13" s="172">
        <f>M13+N13+O13</f>
        <v>10479606.96</v>
      </c>
      <c r="Q13" s="173">
        <f>P13+L13</f>
        <v>34530060.45</v>
      </c>
      <c r="R13" s="174">
        <f>ROUND(R11*R10,2)</f>
        <v>3905136.11</v>
      </c>
      <c r="S13" s="168">
        <f>ROUND(S11*S10,2)</f>
        <v>4551896.33</v>
      </c>
      <c r="T13" s="171">
        <f>ROUND(T11*T10,2)</f>
        <v>5409016.56</v>
      </c>
      <c r="U13" s="157">
        <f>R13+S13+T13</f>
        <v>13866049</v>
      </c>
      <c r="V13" s="158">
        <f>Q13+U13</f>
        <v>48396109.45</v>
      </c>
    </row>
    <row r="14" spans="1:22" ht="18.75" customHeight="1">
      <c r="A14" s="22">
        <v>5</v>
      </c>
      <c r="B14" s="89" t="s">
        <v>26</v>
      </c>
      <c r="C14" s="16" t="s">
        <v>21</v>
      </c>
      <c r="D14" s="38">
        <v>41.96</v>
      </c>
      <c r="E14" s="23">
        <f aca="true" t="shared" si="1" ref="E14:J14">D14</f>
        <v>41.96</v>
      </c>
      <c r="F14" s="17">
        <f t="shared" si="1"/>
        <v>41.96</v>
      </c>
      <c r="G14" s="116">
        <f>F14</f>
        <v>41.96</v>
      </c>
      <c r="H14" s="17">
        <f>F14</f>
        <v>41.96</v>
      </c>
      <c r="I14" s="17">
        <f t="shared" si="1"/>
        <v>41.96</v>
      </c>
      <c r="J14" s="17">
        <f t="shared" si="1"/>
        <v>41.96</v>
      </c>
      <c r="K14" s="116">
        <f>J14</f>
        <v>41.96</v>
      </c>
      <c r="L14" s="113">
        <f>J14</f>
        <v>41.96</v>
      </c>
      <c r="M14" s="17">
        <v>43.63</v>
      </c>
      <c r="N14" s="17">
        <f>M14</f>
        <v>43.63</v>
      </c>
      <c r="O14" s="18">
        <f>M14</f>
        <v>43.63</v>
      </c>
      <c r="P14" s="39">
        <f>ROUND(P15/P11,2)</f>
        <v>43.63</v>
      </c>
      <c r="Q14" s="40">
        <f>ROUND(Q15/Q11,2)</f>
        <v>42.46</v>
      </c>
      <c r="R14" s="64">
        <f>O14</f>
        <v>43.63</v>
      </c>
      <c r="S14" s="22">
        <f aca="true" t="shared" si="2" ref="S14:T17">R14</f>
        <v>43.63</v>
      </c>
      <c r="T14" s="61">
        <f t="shared" si="2"/>
        <v>43.63</v>
      </c>
      <c r="U14" s="117">
        <f>T14</f>
        <v>43.63</v>
      </c>
      <c r="V14" s="115">
        <f>ROUND(V15/V11,2)</f>
        <v>42.8</v>
      </c>
    </row>
    <row r="15" spans="1:22" ht="18.75" customHeight="1">
      <c r="A15" s="41" t="s">
        <v>27</v>
      </c>
      <c r="B15" s="89" t="s">
        <v>28</v>
      </c>
      <c r="C15" s="16" t="s">
        <v>45</v>
      </c>
      <c r="D15" s="118">
        <f>ROUND(D14*D11,2)</f>
        <v>56811.03</v>
      </c>
      <c r="E15" s="118">
        <f>ROUND(E14*E11,2)</f>
        <v>41877.21</v>
      </c>
      <c r="F15" s="118">
        <f>ROUND(F14*F11,2)</f>
        <v>35598.19</v>
      </c>
      <c r="G15" s="119">
        <f>D15+E15+F15</f>
        <v>134286.43</v>
      </c>
      <c r="H15" s="118">
        <f>ROUND(H14*H11,2)</f>
        <v>30564.38</v>
      </c>
      <c r="I15" s="118">
        <f>ROUND(I14*I11,2)</f>
        <v>26703.09</v>
      </c>
      <c r="J15" s="118">
        <f>ROUND(J14*J11,2)</f>
        <v>27481.16</v>
      </c>
      <c r="K15" s="119">
        <f>H15+I15+J15</f>
        <v>84748.63</v>
      </c>
      <c r="L15" s="120">
        <f>G15+K15</f>
        <v>219035.06</v>
      </c>
      <c r="M15" s="118">
        <f>ROUND(M14*M11,2)</f>
        <v>35930.44</v>
      </c>
      <c r="N15" s="118">
        <f>ROUND(N14*N11,2)</f>
        <v>34835.72</v>
      </c>
      <c r="O15" s="121">
        <f>ROUND(O14*O11,2)-0.01</f>
        <v>27422.320000000003</v>
      </c>
      <c r="P15" s="122">
        <f>M15+N15+O15</f>
        <v>98188.48000000001</v>
      </c>
      <c r="Q15" s="123">
        <f>L15+P15</f>
        <v>317223.54000000004</v>
      </c>
      <c r="R15" s="124">
        <f>ROUND(R14*R11,2)</f>
        <v>36741.52</v>
      </c>
      <c r="S15" s="125">
        <f>ROUND(S14*S11,2)</f>
        <v>42920.79</v>
      </c>
      <c r="T15" s="126">
        <f>ROUND(T14*T11,2)</f>
        <v>51065.34</v>
      </c>
      <c r="U15" s="127">
        <f>R15+S15+T15</f>
        <v>130727.65</v>
      </c>
      <c r="V15" s="115">
        <f>U15+Q15</f>
        <v>447951.19000000006</v>
      </c>
    </row>
    <row r="16" spans="1:22" ht="27" customHeight="1">
      <c r="A16" s="32">
        <v>6</v>
      </c>
      <c r="B16" s="15" t="s">
        <v>29</v>
      </c>
      <c r="C16" s="128" t="s">
        <v>21</v>
      </c>
      <c r="D16" s="38">
        <v>581.74</v>
      </c>
      <c r="E16" s="23">
        <f>D16</f>
        <v>581.74</v>
      </c>
      <c r="F16" s="17">
        <f>E16</f>
        <v>581.74</v>
      </c>
      <c r="G16" s="116">
        <f>F16</f>
        <v>581.74</v>
      </c>
      <c r="H16" s="34">
        <f aca="true" t="shared" si="3" ref="H16:P16">ROUND(((H11-H12)*H17+H18*H12)/H11,2)</f>
        <v>600.53</v>
      </c>
      <c r="I16" s="34">
        <f t="shared" si="3"/>
        <v>595.12</v>
      </c>
      <c r="J16" s="34">
        <f t="shared" si="3"/>
        <v>593.28</v>
      </c>
      <c r="K16" s="129">
        <f t="shared" si="3"/>
        <v>596.47</v>
      </c>
      <c r="L16" s="34">
        <f t="shared" si="3"/>
        <v>587.44</v>
      </c>
      <c r="M16" s="34">
        <f t="shared" si="3"/>
        <v>581.74</v>
      </c>
      <c r="N16" s="34">
        <f t="shared" si="3"/>
        <v>581.74</v>
      </c>
      <c r="O16" s="35">
        <f t="shared" si="3"/>
        <v>617.42</v>
      </c>
      <c r="P16" s="30">
        <f t="shared" si="3"/>
        <v>591.71</v>
      </c>
      <c r="Q16" s="37">
        <f>ROUND(Q19/Q11,2)</f>
        <v>588.73</v>
      </c>
      <c r="R16" s="36">
        <f>ROUND(((R11-R12)*R17+R18*R12)/R11,2)</f>
        <v>581.74</v>
      </c>
      <c r="S16" s="34">
        <f>ROUND(((S11-S12)*S17+S18*S12)/S11,2)</f>
        <v>581.74</v>
      </c>
      <c r="T16" s="35">
        <f>ROUND(((T11-T12)*T17+T18*T12)/T11,2)</f>
        <v>581.74</v>
      </c>
      <c r="U16" s="30">
        <f>ROUND(((U11-U12)*U17+U18*U12)/U11,2)</f>
        <v>581.74</v>
      </c>
      <c r="V16" s="37">
        <f>ROUND(V19/V11,2)</f>
        <v>586.73</v>
      </c>
    </row>
    <row r="17" spans="1:22" ht="23.25" customHeight="1">
      <c r="A17" s="41" t="s">
        <v>30</v>
      </c>
      <c r="B17" s="20" t="s">
        <v>31</v>
      </c>
      <c r="C17" s="130" t="s">
        <v>21</v>
      </c>
      <c r="D17" s="38">
        <f>D16</f>
        <v>581.74</v>
      </c>
      <c r="E17" s="23">
        <f>E16</f>
        <v>581.74</v>
      </c>
      <c r="F17" s="17">
        <f>F16</f>
        <v>581.74</v>
      </c>
      <c r="G17" s="74">
        <v>581.74</v>
      </c>
      <c r="H17" s="17">
        <f>581.74</f>
        <v>581.74</v>
      </c>
      <c r="I17" s="17">
        <f>H17</f>
        <v>581.74</v>
      </c>
      <c r="J17" s="17">
        <f>H17</f>
        <v>581.74</v>
      </c>
      <c r="K17" s="74">
        <f>J17</f>
        <v>581.74</v>
      </c>
      <c r="L17" s="17">
        <f>J17</f>
        <v>581.74</v>
      </c>
      <c r="M17" s="17">
        <v>581.74</v>
      </c>
      <c r="N17" s="34">
        <v>581.74</v>
      </c>
      <c r="O17" s="35">
        <v>581.74</v>
      </c>
      <c r="P17" s="30">
        <f>O17</f>
        <v>581.74</v>
      </c>
      <c r="Q17" s="31">
        <f>O17</f>
        <v>581.74</v>
      </c>
      <c r="R17" s="131">
        <f>O17</f>
        <v>581.74</v>
      </c>
      <c r="S17" s="132">
        <f t="shared" si="2"/>
        <v>581.74</v>
      </c>
      <c r="T17" s="133">
        <f t="shared" si="2"/>
        <v>581.74</v>
      </c>
      <c r="U17" s="117">
        <f>T17</f>
        <v>581.74</v>
      </c>
      <c r="V17" s="37">
        <f>U17</f>
        <v>581.74</v>
      </c>
    </row>
    <row r="18" spans="1:22" ht="21.75" customHeight="1">
      <c r="A18" s="41" t="s">
        <v>32</v>
      </c>
      <c r="B18" s="20" t="s">
        <v>33</v>
      </c>
      <c r="C18" s="130" t="s">
        <v>21</v>
      </c>
      <c r="D18" s="38"/>
      <c r="E18" s="23"/>
      <c r="F18" s="17"/>
      <c r="G18" s="74"/>
      <c r="H18" s="17">
        <f>174.52+581.74</f>
        <v>756.26</v>
      </c>
      <c r="I18" s="34">
        <f>58.17+581.74</f>
        <v>639.91</v>
      </c>
      <c r="J18" s="17">
        <f>58.17+581.74</f>
        <v>639.91</v>
      </c>
      <c r="K18" s="74">
        <f>ROUND((H18*H12+I12*I18+J18*J12)/K12,2)</f>
        <v>665.63</v>
      </c>
      <c r="L18" s="34">
        <f>K18</f>
        <v>665.63</v>
      </c>
      <c r="M18" s="17"/>
      <c r="N18" s="34"/>
      <c r="O18" s="35">
        <f>174.52+581.74</f>
        <v>756.26</v>
      </c>
      <c r="P18" s="30">
        <f>O18</f>
        <v>756.26</v>
      </c>
      <c r="Q18" s="21">
        <f>ROUND((H18*H12+I12*I18+J18*J12+O12*O18)/Q12,2)</f>
        <v>689.73</v>
      </c>
      <c r="R18" s="134"/>
      <c r="S18" s="134"/>
      <c r="T18" s="135"/>
      <c r="U18" s="117"/>
      <c r="V18" s="58"/>
    </row>
    <row r="19" spans="1:22" ht="15">
      <c r="A19" s="41" t="s">
        <v>34</v>
      </c>
      <c r="B19" s="32" t="s">
        <v>44</v>
      </c>
      <c r="C19" s="128" t="s">
        <v>51</v>
      </c>
      <c r="D19" s="125">
        <f>ROUND(D16*(D11-D12)+D18*D12,2)</f>
        <v>787636.98</v>
      </c>
      <c r="E19" s="125">
        <f>ROUND(E16*(E11-E12)+E18*E12,2)</f>
        <v>580592.23</v>
      </c>
      <c r="F19" s="125">
        <f>ROUND(F16*(F11-F12)+F18*F12,2)</f>
        <v>493538.91</v>
      </c>
      <c r="G19" s="169">
        <f>D19+E19+F19</f>
        <v>1861768.1199999999</v>
      </c>
      <c r="H19" s="125">
        <f>ROUND(H17*(H11-H12)+H18*H12,2)</f>
        <v>437432.9</v>
      </c>
      <c r="I19" s="125">
        <f>ROUND(I17*(I11-I12)+I18*I12,2)</f>
        <v>378732.4</v>
      </c>
      <c r="J19" s="125">
        <f>ROUND(J17*(J11-J12)+J18*J12,2)</f>
        <v>388561.49</v>
      </c>
      <c r="K19" s="175">
        <f>H19+I19+J19</f>
        <v>1204726.79</v>
      </c>
      <c r="L19" s="176">
        <f>G19+K19</f>
        <v>3066494.91</v>
      </c>
      <c r="M19" s="125">
        <f>ROUND(M16*(M11-M12)+M18*M12,2)</f>
        <v>479078.02</v>
      </c>
      <c r="N19" s="125">
        <f>ROUND(N16*(N11-N12)+N18*N12,2)</f>
        <v>464481.58</v>
      </c>
      <c r="O19" s="126">
        <f>ROUND(O17*(O11-O12)+O18*O12,2)</f>
        <v>388062.79</v>
      </c>
      <c r="P19" s="172">
        <f>M19+N19+O19</f>
        <v>1331622.3900000001</v>
      </c>
      <c r="Q19" s="173">
        <f>P19+L19</f>
        <v>4398117.300000001</v>
      </c>
      <c r="R19" s="124">
        <f>ROUND(R11*R17,2)</f>
        <v>489892.56</v>
      </c>
      <c r="S19" s="125">
        <f>ROUND(S11*S17,2)</f>
        <v>572283.82</v>
      </c>
      <c r="T19" s="126">
        <f>ROUND(T11*T17,2)</f>
        <v>680878.97</v>
      </c>
      <c r="U19" s="114">
        <f>R19+S19+T19</f>
        <v>1743055.3499999999</v>
      </c>
      <c r="V19" s="115">
        <f>Q19+U19</f>
        <v>6141172.65</v>
      </c>
    </row>
    <row r="20" spans="1:22" ht="24.75">
      <c r="A20" s="136">
        <v>7</v>
      </c>
      <c r="B20" s="137" t="s">
        <v>35</v>
      </c>
      <c r="C20" s="138" t="s">
        <v>21</v>
      </c>
      <c r="D20" s="139">
        <f aca="true" t="shared" si="4" ref="D20:Q20">ROUND(D23/D11,2)</f>
        <v>5220.8</v>
      </c>
      <c r="E20" s="139">
        <f t="shared" si="4"/>
        <v>5221.94</v>
      </c>
      <c r="F20" s="139">
        <f t="shared" si="4"/>
        <v>5224.2</v>
      </c>
      <c r="G20" s="139">
        <f t="shared" si="4"/>
        <v>5222.06</v>
      </c>
      <c r="H20" s="139">
        <f t="shared" si="4"/>
        <v>5249.78</v>
      </c>
      <c r="I20" s="139">
        <f t="shared" si="4"/>
        <v>5263.62</v>
      </c>
      <c r="J20" s="139">
        <f t="shared" si="4"/>
        <v>5267.44</v>
      </c>
      <c r="K20" s="139">
        <f t="shared" si="4"/>
        <v>5259.87</v>
      </c>
      <c r="L20" s="139">
        <f t="shared" si="4"/>
        <v>5236.69</v>
      </c>
      <c r="M20" s="139">
        <f t="shared" si="4"/>
        <v>5256.44</v>
      </c>
      <c r="N20" s="139">
        <f t="shared" si="4"/>
        <v>5299.46</v>
      </c>
      <c r="O20" s="140">
        <f t="shared" si="4"/>
        <v>5328.91</v>
      </c>
      <c r="P20" s="141">
        <f t="shared" si="4"/>
        <v>5291.94</v>
      </c>
      <c r="Q20" s="142">
        <f t="shared" si="4"/>
        <v>5253.33</v>
      </c>
      <c r="R20" s="143">
        <f>R10+R14+R17</f>
        <v>5262.66</v>
      </c>
      <c r="S20" s="144">
        <f>S10+S14+S17</f>
        <v>5252.4800000000005</v>
      </c>
      <c r="T20" s="145">
        <f>T10+T14+T17</f>
        <v>5246.8099999999995</v>
      </c>
      <c r="U20" s="146"/>
      <c r="V20" s="88"/>
    </row>
    <row r="21" spans="1:22" ht="36.75">
      <c r="A21" s="147">
        <v>8</v>
      </c>
      <c r="B21" s="160" t="s">
        <v>49</v>
      </c>
      <c r="C21" s="33" t="s">
        <v>45</v>
      </c>
      <c r="D21" s="161">
        <f>ROUND(D22*D11,2)</f>
        <v>253456.26</v>
      </c>
      <c r="E21" s="161">
        <f>ROUND(E22*E11,2)</f>
        <v>186830.65</v>
      </c>
      <c r="F21" s="161">
        <f>ROUND(F22*F11,2)</f>
        <v>158817.48</v>
      </c>
      <c r="G21" s="162">
        <f>SUM(D21:F21)</f>
        <v>599104.39</v>
      </c>
      <c r="H21" s="161">
        <f>ROUND(H22*H11,2)</f>
        <v>136359.66</v>
      </c>
      <c r="I21" s="161">
        <f>ROUND(I22*I11,2)</f>
        <v>119132.96</v>
      </c>
      <c r="J21" s="161">
        <f>ROUND(J22*J11,2)</f>
        <v>122604.21</v>
      </c>
      <c r="K21" s="162">
        <f>SUM(H21:J21)</f>
        <v>378096.83</v>
      </c>
      <c r="L21" s="162">
        <f>K21+G21</f>
        <v>977201.22</v>
      </c>
      <c r="M21" s="161">
        <f>ROUND(M22*M11,2)</f>
        <v>141852.35</v>
      </c>
      <c r="N21" s="161">
        <f>ROUND(N22*N11,2)</f>
        <v>137530.43</v>
      </c>
      <c r="O21" s="163">
        <f>ROUND(O22*O11,2)</f>
        <v>108262.57</v>
      </c>
      <c r="P21" s="164">
        <f>SUM(M21:O21)</f>
        <v>387645.35000000003</v>
      </c>
      <c r="Q21" s="165">
        <f>P21+L21</f>
        <v>1364846.57</v>
      </c>
      <c r="R21" s="166">
        <f>ROUND(R22*R11,2)</f>
        <v>145054.48</v>
      </c>
      <c r="S21" s="161">
        <f>ROUND(S22*S11,2)</f>
        <v>169450.08</v>
      </c>
      <c r="T21" s="163">
        <f>ROUND(T22*T11,2)-0.27</f>
        <v>201604.23</v>
      </c>
      <c r="U21" s="112">
        <f>SUM(R21:T21)</f>
        <v>516108.79000000004</v>
      </c>
      <c r="V21" s="115">
        <f>Q21+U21</f>
        <v>1880955.36</v>
      </c>
    </row>
    <row r="22" spans="1:22" ht="15.75" thickBot="1">
      <c r="A22" s="136"/>
      <c r="B22" s="148" t="s">
        <v>46</v>
      </c>
      <c r="C22" s="149" t="s">
        <v>21</v>
      </c>
      <c r="D22" s="150">
        <v>187.2</v>
      </c>
      <c r="E22" s="150">
        <v>187.2</v>
      </c>
      <c r="F22" s="150">
        <v>187.2</v>
      </c>
      <c r="G22" s="139"/>
      <c r="H22" s="150">
        <v>187.2</v>
      </c>
      <c r="I22" s="150">
        <v>187.2</v>
      </c>
      <c r="J22" s="150">
        <v>187.2</v>
      </c>
      <c r="K22" s="139"/>
      <c r="L22" s="150"/>
      <c r="M22" s="150">
        <v>172.25</v>
      </c>
      <c r="N22" s="150">
        <v>172.25</v>
      </c>
      <c r="O22" s="151">
        <v>172.25</v>
      </c>
      <c r="P22" s="141"/>
      <c r="Q22" s="142"/>
      <c r="R22" s="152">
        <v>172.25</v>
      </c>
      <c r="S22" s="150">
        <v>172.25</v>
      </c>
      <c r="T22" s="151">
        <v>172.25</v>
      </c>
      <c r="U22" s="87"/>
      <c r="V22" s="153"/>
    </row>
    <row r="23" spans="1:22" ht="61.5" thickBot="1">
      <c r="A23" s="177" t="s">
        <v>52</v>
      </c>
      <c r="B23" s="178" t="s">
        <v>47</v>
      </c>
      <c r="C23" s="179" t="s">
        <v>51</v>
      </c>
      <c r="D23" s="180">
        <f aca="true" t="shared" si="5" ref="D23:T23">D13+D15+D19</f>
        <v>7068613.4</v>
      </c>
      <c r="E23" s="180">
        <f t="shared" si="5"/>
        <v>5211637.109999999</v>
      </c>
      <c r="F23" s="180">
        <f t="shared" si="5"/>
        <v>4432127.6899999995</v>
      </c>
      <c r="G23" s="180">
        <f t="shared" si="5"/>
        <v>16712378.199999997</v>
      </c>
      <c r="H23" s="180">
        <f t="shared" si="5"/>
        <v>3824025.6499999994</v>
      </c>
      <c r="I23" s="180">
        <f t="shared" si="5"/>
        <v>3349737.7899999996</v>
      </c>
      <c r="J23" s="180">
        <f t="shared" si="5"/>
        <v>3449841.8200000003</v>
      </c>
      <c r="K23" s="180">
        <f t="shared" si="5"/>
        <v>10623605.260000002</v>
      </c>
      <c r="L23" s="180">
        <f t="shared" si="5"/>
        <v>27335983.459999997</v>
      </c>
      <c r="M23" s="180">
        <f t="shared" si="5"/>
        <v>4328815.01</v>
      </c>
      <c r="N23" s="180">
        <f t="shared" si="5"/>
        <v>4231274.35</v>
      </c>
      <c r="O23" s="181">
        <f t="shared" si="5"/>
        <v>3349328.47</v>
      </c>
      <c r="P23" s="182">
        <f t="shared" si="5"/>
        <v>11909417.830000002</v>
      </c>
      <c r="Q23" s="183">
        <f t="shared" si="5"/>
        <v>39245401.29000001</v>
      </c>
      <c r="R23" s="184">
        <f t="shared" si="5"/>
        <v>4431770.1899999995</v>
      </c>
      <c r="S23" s="180">
        <f t="shared" si="5"/>
        <v>5167100.94</v>
      </c>
      <c r="T23" s="180">
        <f t="shared" si="5"/>
        <v>6140960.869999999</v>
      </c>
      <c r="U23" s="182">
        <f>R23+S23+T23</f>
        <v>15739831.999999998</v>
      </c>
      <c r="V23" s="185">
        <f>U23+Q23</f>
        <v>54985233.29000001</v>
      </c>
    </row>
    <row r="24" spans="1:22" ht="60.75">
      <c r="A24" s="186" t="s">
        <v>53</v>
      </c>
      <c r="B24" s="187" t="s">
        <v>50</v>
      </c>
      <c r="C24" s="188" t="s">
        <v>51</v>
      </c>
      <c r="D24" s="189">
        <f>D23+D21</f>
        <v>7322069.66</v>
      </c>
      <c r="E24" s="189">
        <f>E23+E21</f>
        <v>5398467.76</v>
      </c>
      <c r="F24" s="189">
        <f>F23+F21</f>
        <v>4590945.17</v>
      </c>
      <c r="G24" s="189">
        <f>D24+E24+F24</f>
        <v>17311482.59</v>
      </c>
      <c r="H24" s="189">
        <f>H23+H21</f>
        <v>3960385.3099999996</v>
      </c>
      <c r="I24" s="189">
        <f>I23+I21</f>
        <v>3468870.7499999995</v>
      </c>
      <c r="J24" s="189">
        <f>J23+J21</f>
        <v>3572446.0300000003</v>
      </c>
      <c r="K24" s="189">
        <f>H24+I24+J24</f>
        <v>11001702.09</v>
      </c>
      <c r="L24" s="189">
        <f>G24+K24</f>
        <v>28313184.68</v>
      </c>
      <c r="M24" s="189">
        <f>M23+M21</f>
        <v>4470667.359999999</v>
      </c>
      <c r="N24" s="189">
        <f>N23+N21</f>
        <v>4368804.779999999</v>
      </c>
      <c r="O24" s="190">
        <f>O23+O21</f>
        <v>3457591.04</v>
      </c>
      <c r="P24" s="182">
        <f>M24+N24+O24</f>
        <v>12297063.18</v>
      </c>
      <c r="Q24" s="183">
        <f>P24+L24</f>
        <v>40610247.86</v>
      </c>
      <c r="R24" s="191">
        <f>R23+R21</f>
        <v>4576824.67</v>
      </c>
      <c r="S24" s="189">
        <f>S23+S21</f>
        <v>5336551.0200000005</v>
      </c>
      <c r="T24" s="190">
        <f>T23+T21</f>
        <v>6342565.1</v>
      </c>
      <c r="U24" s="192">
        <f>R24+S24+T24</f>
        <v>16255940.790000001</v>
      </c>
      <c r="V24" s="193">
        <f>U24+Q24</f>
        <v>56866188.65</v>
      </c>
    </row>
    <row r="25" spans="1:22" ht="24.75">
      <c r="A25" s="194" t="s">
        <v>55</v>
      </c>
      <c r="B25" s="160" t="s">
        <v>54</v>
      </c>
      <c r="C25" s="33" t="s">
        <v>21</v>
      </c>
      <c r="D25" s="43">
        <f>ROUND(D24/D11,2)</f>
        <v>5408</v>
      </c>
      <c r="E25" s="43">
        <f aca="true" t="shared" si="6" ref="E25:V25">ROUND(E24/E11,2)</f>
        <v>5409.14</v>
      </c>
      <c r="F25" s="43">
        <f t="shared" si="6"/>
        <v>5411.4</v>
      </c>
      <c r="G25" s="43">
        <f t="shared" si="6"/>
        <v>5409.26</v>
      </c>
      <c r="H25" s="43">
        <f t="shared" si="6"/>
        <v>5436.98</v>
      </c>
      <c r="I25" s="43">
        <f t="shared" si="6"/>
        <v>5450.82</v>
      </c>
      <c r="J25" s="43">
        <f t="shared" si="6"/>
        <v>5454.64</v>
      </c>
      <c r="K25" s="43">
        <f t="shared" si="6"/>
        <v>5447.07</v>
      </c>
      <c r="L25" s="43">
        <f t="shared" si="6"/>
        <v>5423.89</v>
      </c>
      <c r="M25" s="43">
        <f t="shared" si="6"/>
        <v>5428.69</v>
      </c>
      <c r="N25" s="43">
        <f t="shared" si="6"/>
        <v>5471.71</v>
      </c>
      <c r="O25" s="43">
        <f t="shared" si="6"/>
        <v>5501.16</v>
      </c>
      <c r="P25" s="43">
        <f t="shared" si="6"/>
        <v>5464.19</v>
      </c>
      <c r="Q25" s="43">
        <f t="shared" si="6"/>
        <v>5436.03</v>
      </c>
      <c r="R25" s="43">
        <f t="shared" si="6"/>
        <v>5434.91</v>
      </c>
      <c r="S25" s="43">
        <f t="shared" si="6"/>
        <v>5424.73</v>
      </c>
      <c r="T25" s="43">
        <f t="shared" si="6"/>
        <v>5419.06</v>
      </c>
      <c r="U25" s="43">
        <f t="shared" si="6"/>
        <v>5425.38</v>
      </c>
      <c r="V25" s="43">
        <f t="shared" si="6"/>
        <v>5432.98</v>
      </c>
    </row>
    <row r="26" spans="1:22" ht="15.75">
      <c r="A26" s="154"/>
      <c r="B26" s="154"/>
      <c r="C26" s="154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54"/>
      <c r="S26" s="154"/>
      <c r="T26" s="195"/>
      <c r="U26" s="196"/>
      <c r="V26" s="197"/>
    </row>
    <row r="27" spans="20:22" ht="15">
      <c r="T27" s="197"/>
      <c r="U27" s="197"/>
      <c r="V27" s="197"/>
    </row>
  </sheetData>
  <sheetProtection/>
  <mergeCells count="5">
    <mergeCell ref="A4:A5"/>
    <mergeCell ref="B4:B5"/>
    <mergeCell ref="C4:C5"/>
    <mergeCell ref="A2:Q2"/>
    <mergeCell ref="A3:Q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Долгушина Татьяна Алексеевна</dc:creator>
  <cp:keywords/>
  <dc:description/>
  <cp:lastModifiedBy>Ильин Александр Михайлович</cp:lastModifiedBy>
  <cp:lastPrinted>2014-11-18T08:05:33Z</cp:lastPrinted>
  <dcterms:created xsi:type="dcterms:W3CDTF">2014-10-27T07:08:06Z</dcterms:created>
  <dcterms:modified xsi:type="dcterms:W3CDTF">2017-03-02T10:48:02Z</dcterms:modified>
  <cp:category/>
  <cp:version/>
  <cp:contentType/>
  <cp:contentStatus/>
</cp:coreProperties>
</file>